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880" windowHeight="9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'Sheet1'!$A$1:$T$40</definedName>
  </definedNames>
  <calcPr fullCalcOnLoad="1"/>
</workbook>
</file>

<file path=xl/sharedStrings.xml><?xml version="1.0" encoding="utf-8"?>
<sst xmlns="http://schemas.openxmlformats.org/spreadsheetml/2006/main" count="134" uniqueCount="83">
  <si>
    <t>I-95/I-395 Improvement &amp; Transit Improvements</t>
  </si>
  <si>
    <t>VRE New Railcar Purchase</t>
  </si>
  <si>
    <t>Route 234 Bypass/Route 659 Relocated</t>
  </si>
  <si>
    <t>Metrorail Infrastructure Replacement Program</t>
  </si>
  <si>
    <t>Route 7 Improvements (Fairfax/Falls Church)</t>
  </si>
  <si>
    <t>Route 7 Improvements (Loudoun)</t>
  </si>
  <si>
    <t>Columbia Pike/ Route 7 Transit Improvements</t>
  </si>
  <si>
    <t>Rail Safety Improvements (Manassas Grade Separation)</t>
  </si>
  <si>
    <t>I-495 Highway &amp; Transit Improvements</t>
  </si>
  <si>
    <t>Fairfax County Parkway</t>
  </si>
  <si>
    <t>VRE New Railcars</t>
  </si>
  <si>
    <t>Secondary System Improvements</t>
  </si>
  <si>
    <t>Fairfax</t>
  </si>
  <si>
    <t>County</t>
  </si>
  <si>
    <t>Prince Wm</t>
  </si>
  <si>
    <t>Arlington</t>
  </si>
  <si>
    <t>Loudoun</t>
  </si>
  <si>
    <t>Alexandria</t>
  </si>
  <si>
    <t>Manassas</t>
  </si>
  <si>
    <t>City</t>
  </si>
  <si>
    <t>Falls Ch.</t>
  </si>
  <si>
    <t>Park</t>
  </si>
  <si>
    <t>Total</t>
  </si>
  <si>
    <t>Urban System Improvements</t>
  </si>
  <si>
    <t>Sales Tax Percentage</t>
  </si>
  <si>
    <t>Population Percentage</t>
  </si>
  <si>
    <t>Secondary Breakdown</t>
  </si>
  <si>
    <t xml:space="preserve"> (Including Arlington Co.)</t>
  </si>
  <si>
    <t>Regional Transit Capital</t>
  </si>
  <si>
    <t>Route 50/Columbia Pike Improvements</t>
  </si>
  <si>
    <t>Dulles Corridor Transit  (locality share)</t>
  </si>
  <si>
    <t>[1] Includes $150M for Fairfax and Prince William improvements and $75M for Arlington and Alexandria transit improvements.</t>
  </si>
  <si>
    <t>[2] Includes $50M for Prince William, $25M for Fairfax Co. and $25M for Loudoun County.</t>
  </si>
  <si>
    <t>TriCounty/Loudoun County Parkway</t>
  </si>
  <si>
    <t xml:space="preserve">Metrorail Capital Improvements, including  </t>
  </si>
  <si>
    <t xml:space="preserve"> Infrastructure Replacement</t>
  </si>
  <si>
    <t>Route 1 Transit Improvements (Arlington/Alexandria)</t>
  </si>
  <si>
    <t>Route 28 Improvements (Loudoun &amp; Fairfax)</t>
  </si>
  <si>
    <t>Route 1 Improvements (Fairfax &amp; Prince William)</t>
  </si>
  <si>
    <t>Route 28 Improvements (Prince William)</t>
  </si>
  <si>
    <t>Gallows Road/Route 29 Interchange</t>
  </si>
  <si>
    <t>Eisenhower Valley Highway &amp; Transit Imprvmts</t>
  </si>
  <si>
    <t>Alexandria Transit Capital &amp; Facilities</t>
  </si>
  <si>
    <t>Northern Virginia Transportation Sales Tax Legislation</t>
  </si>
  <si>
    <t>Proposed Allocation of Regional Funds Including in</t>
  </si>
  <si>
    <t>Jurisdiction</t>
  </si>
  <si>
    <t>Share</t>
  </si>
  <si>
    <t>Amount</t>
  </si>
  <si>
    <t>Fairfax County</t>
  </si>
  <si>
    <t>Fairfax City</t>
  </si>
  <si>
    <t>Falls Church</t>
  </si>
  <si>
    <t>TOTAL</t>
  </si>
  <si>
    <t xml:space="preserve">Manassas </t>
  </si>
  <si>
    <t>Manassas Park</t>
  </si>
  <si>
    <t>Prince William</t>
  </si>
  <si>
    <t xml:space="preserve">Metrorail Captial Improvements (via FY02 NVTC formula) - </t>
  </si>
  <si>
    <t>VRE New Railcars (via FY03 VRE subsidy formula less Fredericksburg and Stafford)</t>
  </si>
  <si>
    <t xml:space="preserve">Portion of </t>
  </si>
  <si>
    <t xml:space="preserve">Adjusted </t>
  </si>
  <si>
    <t>Arlington County</t>
  </si>
  <si>
    <t xml:space="preserve">Fairfax County </t>
  </si>
  <si>
    <t>Loudoun County</t>
  </si>
  <si>
    <t xml:space="preserve">Prince William County </t>
  </si>
  <si>
    <t xml:space="preserve">Population </t>
  </si>
  <si>
    <t>Percentage</t>
  </si>
  <si>
    <t>Herndon</t>
  </si>
  <si>
    <t>Leesburg</t>
  </si>
  <si>
    <t>Vienna</t>
  </si>
  <si>
    <t>Alexandria (DASH)</t>
  </si>
  <si>
    <t>Arlington (ART)</t>
  </si>
  <si>
    <t>Fairfax City (CUE)</t>
  </si>
  <si>
    <t>Fairfax County (Connector)</t>
  </si>
  <si>
    <t>Distribution</t>
  </si>
  <si>
    <t>Dumfries</t>
  </si>
  <si>
    <t>Secondary System Improvements, including Arlington (via 2000 census population)</t>
  </si>
  <si>
    <t>Urban System Improvements (via 2000 census population)</t>
  </si>
  <si>
    <t>Purcellville</t>
  </si>
  <si>
    <t>Breakdown of Region Project Funding (Proposed)</t>
  </si>
  <si>
    <t>Totals</t>
  </si>
  <si>
    <t>TOTALS</t>
  </si>
  <si>
    <t>Breakdown - Regional - 5/29</t>
  </si>
  <si>
    <t>Prince William (PRTC)</t>
  </si>
  <si>
    <t>I-66 Improvements and Rail Extension (I-495 to Route 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</si>
</sst>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&quot;$&quot;#,##0.00"/>
    <numFmt numFmtId="167" formatCode="0.0000%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125" zoomScaleNormal="12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3" sqref="G13"/>
    </sheetView>
  </sheetViews>
  <sheetFormatPr defaultColWidth="11.421875" defaultRowHeight="12.75"/>
  <cols>
    <col min="1" max="1" width="15.7109375" style="0" customWidth="1"/>
    <col min="2" max="3" width="8.8515625" style="0" customWidth="1"/>
    <col min="4" max="4" width="2.7109375" style="0" customWidth="1"/>
    <col min="5" max="6" width="11.7109375" style="0" customWidth="1"/>
    <col min="7" max="10" width="10.7109375" style="0" customWidth="1"/>
    <col min="11" max="12" width="9.7109375" style="0" customWidth="1"/>
    <col min="13" max="13" width="10.7109375" style="0" customWidth="1"/>
    <col min="14" max="19" width="9.7109375" style="0" customWidth="1"/>
    <col min="20" max="20" width="11.7109375" style="0" customWidth="1"/>
    <col min="21" max="16384" width="8.8515625" style="0" customWidth="1"/>
  </cols>
  <sheetData>
    <row r="1" spans="1:20" ht="12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>
      <c r="A3" s="1"/>
      <c r="B3" s="1"/>
      <c r="C3" s="1"/>
      <c r="D3" s="1"/>
      <c r="E3" s="5"/>
      <c r="F3" s="5" t="s">
        <v>12</v>
      </c>
      <c r="G3" s="5" t="s">
        <v>14</v>
      </c>
      <c r="H3" s="5" t="s">
        <v>15</v>
      </c>
      <c r="I3" s="5" t="s">
        <v>16</v>
      </c>
      <c r="J3" s="5"/>
      <c r="K3" s="5"/>
      <c r="L3" s="5" t="s">
        <v>12</v>
      </c>
      <c r="M3" s="5"/>
      <c r="N3" s="5" t="s">
        <v>18</v>
      </c>
      <c r="O3" s="5"/>
      <c r="P3" s="5"/>
      <c r="Q3" s="5"/>
      <c r="R3" s="5"/>
      <c r="S3" s="5"/>
      <c r="T3" s="1"/>
    </row>
    <row r="4" spans="1:20" ht="12">
      <c r="A4" s="1"/>
      <c r="B4" s="1"/>
      <c r="C4" s="1"/>
      <c r="D4" s="1"/>
      <c r="E4" s="5" t="s">
        <v>22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73</v>
      </c>
      <c r="P4" s="5" t="s">
        <v>65</v>
      </c>
      <c r="Q4" s="5" t="s">
        <v>66</v>
      </c>
      <c r="R4" s="5" t="s">
        <v>76</v>
      </c>
      <c r="S4" s="5" t="s">
        <v>67</v>
      </c>
      <c r="T4" s="1"/>
    </row>
    <row r="5" spans="1:20" ht="12">
      <c r="A5" s="1" t="s">
        <v>30</v>
      </c>
      <c r="B5" s="1"/>
      <c r="C5" s="1"/>
      <c r="D5" s="1"/>
      <c r="E5" s="2">
        <v>350000000</v>
      </c>
      <c r="F5" s="2">
        <f>+E5*0.82</f>
        <v>287000000</v>
      </c>
      <c r="G5" s="2"/>
      <c r="H5" s="2"/>
      <c r="I5" s="2">
        <f>+E5*0.18</f>
        <v>63000000</v>
      </c>
      <c r="J5" s="2"/>
      <c r="K5" s="2"/>
      <c r="L5" s="2"/>
      <c r="M5" s="2"/>
      <c r="N5" s="2"/>
      <c r="O5" s="2"/>
      <c r="P5" s="2"/>
      <c r="Q5" s="2"/>
      <c r="R5" s="2"/>
      <c r="S5" s="2"/>
      <c r="T5" s="2">
        <f aca="true" t="shared" si="0" ref="T5:T18">SUM(F5:N5)</f>
        <v>350000000</v>
      </c>
    </row>
    <row r="6" spans="1:20" ht="12">
      <c r="A6" s="1" t="s">
        <v>82</v>
      </c>
      <c r="B6" s="1"/>
      <c r="C6" s="1"/>
      <c r="D6" s="1"/>
      <c r="E6" s="2">
        <v>300000000</v>
      </c>
      <c r="F6" s="2">
        <v>150000000</v>
      </c>
      <c r="G6" s="2">
        <v>150000000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f t="shared" si="0"/>
        <v>300000000</v>
      </c>
    </row>
    <row r="7" spans="1:20" ht="12">
      <c r="A7" s="1" t="s">
        <v>0</v>
      </c>
      <c r="B7" s="1"/>
      <c r="C7" s="1"/>
      <c r="D7" s="1"/>
      <c r="E7" s="2">
        <v>250000000</v>
      </c>
      <c r="F7" s="2">
        <f>+E7*(13/33)</f>
        <v>98484848.48484848</v>
      </c>
      <c r="G7" s="2">
        <f>+E7*(12/33)</f>
        <v>90909090.9090909</v>
      </c>
      <c r="H7" s="2">
        <v>40303030</v>
      </c>
      <c r="I7" s="2"/>
      <c r="J7" s="2">
        <v>20303031</v>
      </c>
      <c r="K7" s="2"/>
      <c r="L7" s="2"/>
      <c r="M7" s="2"/>
      <c r="N7" s="2"/>
      <c r="O7" s="2"/>
      <c r="P7" s="2"/>
      <c r="Q7" s="2"/>
      <c r="R7" s="2"/>
      <c r="S7" s="2"/>
      <c r="T7" s="2">
        <f t="shared" si="0"/>
        <v>250000000.39393938</v>
      </c>
    </row>
    <row r="8" spans="1:20" ht="12">
      <c r="A8" s="1" t="s">
        <v>36</v>
      </c>
      <c r="B8" s="1"/>
      <c r="C8" s="1"/>
      <c r="D8" s="1"/>
      <c r="E8" s="2">
        <v>75000000</v>
      </c>
      <c r="F8" s="2"/>
      <c r="G8" s="2"/>
      <c r="H8" s="2">
        <f>+E8/2</f>
        <v>37500000</v>
      </c>
      <c r="I8" s="2"/>
      <c r="J8" s="2">
        <f>+E8/2</f>
        <v>37500000</v>
      </c>
      <c r="K8" s="2"/>
      <c r="L8" s="2"/>
      <c r="M8" s="2"/>
      <c r="N8" s="2"/>
      <c r="O8" s="2"/>
      <c r="P8" s="2"/>
      <c r="Q8" s="2"/>
      <c r="R8" s="2"/>
      <c r="S8" s="2"/>
      <c r="T8" s="2">
        <f t="shared" si="0"/>
        <v>75000000</v>
      </c>
    </row>
    <row r="9" spans="1:20" ht="12">
      <c r="A9" s="1" t="s">
        <v>38</v>
      </c>
      <c r="B9" s="1"/>
      <c r="C9" s="1"/>
      <c r="D9" s="1"/>
      <c r="E9" s="2">
        <v>150000000</v>
      </c>
      <c r="F9" s="2">
        <f>+E9*0.5</f>
        <v>75000000</v>
      </c>
      <c r="G9" s="2">
        <f>+E9*0.5</f>
        <v>75000000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150000000</v>
      </c>
    </row>
    <row r="10" spans="1:20" ht="12">
      <c r="A10" s="1" t="s">
        <v>37</v>
      </c>
      <c r="B10" s="1"/>
      <c r="C10" s="1"/>
      <c r="D10" s="1"/>
      <c r="E10" s="2">
        <v>50000000</v>
      </c>
      <c r="F10" s="2">
        <f>+E10/2</f>
        <v>25000000</v>
      </c>
      <c r="G10" s="2"/>
      <c r="H10" s="2"/>
      <c r="I10" s="2">
        <f>+E10/2</f>
        <v>25000000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 t="shared" si="0"/>
        <v>50000000</v>
      </c>
    </row>
    <row r="11" spans="1:20" ht="12">
      <c r="A11" s="1" t="s">
        <v>39</v>
      </c>
      <c r="B11" s="1"/>
      <c r="C11" s="1"/>
      <c r="D11" s="1"/>
      <c r="E11" s="2">
        <v>50000000</v>
      </c>
      <c r="F11" s="2"/>
      <c r="G11" s="2">
        <v>50000000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f t="shared" si="0"/>
        <v>50000000</v>
      </c>
    </row>
    <row r="12" spans="1:20" ht="12">
      <c r="A12" s="1" t="s">
        <v>8</v>
      </c>
      <c r="B12" s="1"/>
      <c r="C12" s="1"/>
      <c r="D12" s="1"/>
      <c r="E12" s="2">
        <v>200000000</v>
      </c>
      <c r="F12" s="2">
        <f>+E12</f>
        <v>200000000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si="0"/>
        <v>200000000</v>
      </c>
    </row>
    <row r="13" spans="1:20" ht="12">
      <c r="A13" s="1" t="s">
        <v>9</v>
      </c>
      <c r="B13" s="1"/>
      <c r="C13" s="1"/>
      <c r="D13" s="1"/>
      <c r="E13" s="2">
        <v>125000000</v>
      </c>
      <c r="F13" s="2">
        <f>+E13</f>
        <v>125000000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f t="shared" si="0"/>
        <v>125000000</v>
      </c>
    </row>
    <row r="14" spans="1:20" ht="12">
      <c r="A14" s="1" t="s">
        <v>40</v>
      </c>
      <c r="B14" s="1"/>
      <c r="C14" s="1"/>
      <c r="D14" s="1"/>
      <c r="E14" s="2">
        <v>25000000</v>
      </c>
      <c r="F14" s="2">
        <v>25000000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f t="shared" si="0"/>
        <v>25000000</v>
      </c>
    </row>
    <row r="15" spans="1:20" ht="12">
      <c r="A15" s="1" t="s">
        <v>33</v>
      </c>
      <c r="B15" s="1"/>
      <c r="C15" s="1"/>
      <c r="D15" s="1"/>
      <c r="E15" s="2">
        <v>100000000</v>
      </c>
      <c r="F15" s="2">
        <f>+E15*0.33333333</f>
        <v>33333333</v>
      </c>
      <c r="G15" s="2">
        <f>+E15*0.33333333</f>
        <v>33333333</v>
      </c>
      <c r="I15" s="2">
        <f>+E15*0.33333334</f>
        <v>33333333.999999996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f t="shared" si="0"/>
        <v>100000000</v>
      </c>
    </row>
    <row r="16" spans="1:20" ht="12">
      <c r="A16" s="1" t="s">
        <v>1</v>
      </c>
      <c r="B16" s="1"/>
      <c r="C16" s="1"/>
      <c r="D16" s="1"/>
      <c r="E16" s="2">
        <v>100000000</v>
      </c>
      <c r="F16" s="2">
        <f>+Sheet2!D20</f>
        <v>40727001.03950103</v>
      </c>
      <c r="G16" s="2">
        <f>+Sheet2!D23</f>
        <v>46607328.48232848</v>
      </c>
      <c r="H16" s="2"/>
      <c r="I16" s="2"/>
      <c r="J16" s="2"/>
      <c r="K16" s="2">
        <f>+Sheet2!D21</f>
        <v>8722843.035343034</v>
      </c>
      <c r="L16" s="2"/>
      <c r="M16" s="2"/>
      <c r="N16" s="2">
        <f>+Sheet2!D22</f>
        <v>3942827.442827442</v>
      </c>
      <c r="O16" s="2"/>
      <c r="P16" s="2"/>
      <c r="Q16" s="2"/>
      <c r="R16" s="2"/>
      <c r="S16" s="2"/>
      <c r="T16" s="2">
        <f t="shared" si="0"/>
        <v>100000000</v>
      </c>
    </row>
    <row r="17" spans="1:20" ht="12">
      <c r="A17" s="1" t="s">
        <v>41</v>
      </c>
      <c r="B17" s="1"/>
      <c r="C17" s="1"/>
      <c r="D17" s="1"/>
      <c r="E17" s="2">
        <v>25000000</v>
      </c>
      <c r="F17" s="2"/>
      <c r="G17" s="2"/>
      <c r="H17" s="2"/>
      <c r="I17" s="2"/>
      <c r="J17" s="2">
        <v>25000000</v>
      </c>
      <c r="K17" s="2"/>
      <c r="L17" s="2"/>
      <c r="M17" s="2"/>
      <c r="N17" s="2"/>
      <c r="O17" s="2"/>
      <c r="P17" s="2"/>
      <c r="Q17" s="2"/>
      <c r="R17" s="2"/>
      <c r="S17" s="2"/>
      <c r="T17" s="2">
        <f t="shared" si="0"/>
        <v>25000000</v>
      </c>
    </row>
    <row r="18" spans="1:20" ht="12">
      <c r="A18" s="1" t="s">
        <v>2</v>
      </c>
      <c r="B18" s="1"/>
      <c r="C18" s="1"/>
      <c r="D18" s="1"/>
      <c r="E18" s="2">
        <v>50000000</v>
      </c>
      <c r="F18" s="2"/>
      <c r="G18" s="2">
        <f>+E18*0.5</f>
        <v>25000000</v>
      </c>
      <c r="H18" s="2"/>
      <c r="I18" s="2">
        <f>+E18*0.5</f>
        <v>25000000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t="shared" si="0"/>
        <v>50000000</v>
      </c>
    </row>
    <row r="19" spans="1:20" ht="12">
      <c r="A19" s="1" t="s">
        <v>3</v>
      </c>
      <c r="B19" s="1"/>
      <c r="C19" s="1"/>
      <c r="D19" s="1"/>
      <c r="E19" s="2">
        <v>250000000</v>
      </c>
      <c r="F19" s="2">
        <f>+Sheet2!C12</f>
        <v>139777420</v>
      </c>
      <c r="G19" s="2"/>
      <c r="H19" s="2">
        <f>+Sheet2!C10</f>
        <v>60228427.5</v>
      </c>
      <c r="I19" s="2"/>
      <c r="J19" s="2">
        <f>+Sheet2!C9</f>
        <v>43481947.5</v>
      </c>
      <c r="K19" s="2"/>
      <c r="L19" s="2">
        <f>+Sheet2!C11</f>
        <v>4310487.5</v>
      </c>
      <c r="M19" s="2">
        <f>+Sheet2!C13</f>
        <v>2201717.5</v>
      </c>
      <c r="T19" s="2">
        <f>SUM(F19:M19)</f>
        <v>250000000</v>
      </c>
    </row>
    <row r="20" spans="1:20" ht="12">
      <c r="A20" s="1" t="s">
        <v>11</v>
      </c>
      <c r="B20" s="1"/>
      <c r="C20" s="1"/>
      <c r="D20" s="1"/>
      <c r="E20" s="2">
        <v>150000000</v>
      </c>
      <c r="F20" s="2">
        <f>+Sheet2!D30</f>
        <v>90370952.2904249</v>
      </c>
      <c r="G20" s="2">
        <f>+Sheet2!D32</f>
        <v>26168975.915964946</v>
      </c>
      <c r="H20" s="2">
        <f>+Sheet2!D29</f>
        <v>17655133.46678148</v>
      </c>
      <c r="I20" s="2">
        <f>+Sheet2!D31</f>
        <v>15804938.326828668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>SUM(F20:N20)</f>
        <v>150000000</v>
      </c>
    </row>
    <row r="21" spans="1:20" ht="12">
      <c r="A21" s="1" t="s">
        <v>23</v>
      </c>
      <c r="B21" s="1"/>
      <c r="C21" s="1"/>
      <c r="D21" s="1"/>
      <c r="E21" s="2">
        <v>100000000</v>
      </c>
      <c r="F21" s="2"/>
      <c r="G21" s="2"/>
      <c r="H21" s="2"/>
      <c r="I21" s="2"/>
      <c r="J21" s="2">
        <f>+Sheet2!D39</f>
        <v>46058314.75318017</v>
      </c>
      <c r="K21" s="2">
        <f>+Sheet2!D45</f>
        <v>12614757.12957278</v>
      </c>
      <c r="L21" s="2">
        <f>+Sheet2!D41</f>
        <v>7718572.613392789</v>
      </c>
      <c r="M21" s="2">
        <f>+Sheet2!D42</f>
        <v>3725724.625973439</v>
      </c>
      <c r="N21" s="2">
        <f>+Sheet2!D46</f>
        <v>3694488.4264495214</v>
      </c>
      <c r="O21" s="2">
        <f>+Sheet2!D40</f>
        <v>1772564.563788269</v>
      </c>
      <c r="P21" s="2">
        <f>+Sheet2!D43</f>
        <v>7774941.387246295</v>
      </c>
      <c r="Q21" s="2">
        <f>+Sheet2!D44</f>
        <v>10164690.169214033</v>
      </c>
      <c r="R21" s="2">
        <f>+Sheet2!D47</f>
        <v>1286787.8056749352</v>
      </c>
      <c r="S21" s="2">
        <f>+Sheet2!D48</f>
        <v>5189158.525507768</v>
      </c>
      <c r="T21" s="2">
        <f>SUM(F21:S21)</f>
        <v>99999999.99999999</v>
      </c>
    </row>
    <row r="22" spans="1:20" ht="12">
      <c r="A22" s="1" t="s">
        <v>4</v>
      </c>
      <c r="B22" s="1"/>
      <c r="C22" s="1"/>
      <c r="D22" s="1"/>
      <c r="E22" s="2">
        <v>80000000</v>
      </c>
      <c r="F22" s="2">
        <v>75000000</v>
      </c>
      <c r="G22" s="2"/>
      <c r="H22" s="2"/>
      <c r="I22" s="2"/>
      <c r="J22" s="2"/>
      <c r="K22" s="2"/>
      <c r="L22" s="2"/>
      <c r="M22" s="2">
        <v>5000000</v>
      </c>
      <c r="N22" s="2"/>
      <c r="O22" s="2"/>
      <c r="P22" s="2"/>
      <c r="Q22" s="2"/>
      <c r="R22" s="2"/>
      <c r="S22" s="2"/>
      <c r="T22" s="2">
        <f aca="true" t="shared" si="1" ref="T22:T27">SUM(F22:N22)</f>
        <v>80000000</v>
      </c>
    </row>
    <row r="23" spans="1:20" ht="12">
      <c r="A23" s="1" t="s">
        <v>5</v>
      </c>
      <c r="B23" s="1"/>
      <c r="C23" s="1"/>
      <c r="D23" s="1"/>
      <c r="E23" s="2">
        <v>100000000</v>
      </c>
      <c r="F23" s="2"/>
      <c r="G23" s="2"/>
      <c r="H23" s="2"/>
      <c r="I23" s="2">
        <f>+E23</f>
        <v>100000000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f t="shared" si="1"/>
        <v>100000000</v>
      </c>
    </row>
    <row r="24" spans="1:20" ht="12">
      <c r="A24" s="1" t="s">
        <v>28</v>
      </c>
      <c r="B24" s="1"/>
      <c r="C24" s="1"/>
      <c r="D24" s="1"/>
      <c r="E24" s="2">
        <v>75000000</v>
      </c>
      <c r="F24" s="2">
        <f>+Sheet2!B58</f>
        <v>26250000</v>
      </c>
      <c r="G24" s="2">
        <f>Sheet2!B59</f>
        <v>3750000</v>
      </c>
      <c r="H24" s="2">
        <v>25000000</v>
      </c>
      <c r="I24" s="2"/>
      <c r="J24" s="2">
        <v>12500000</v>
      </c>
      <c r="K24" s="2"/>
      <c r="L24" s="2">
        <f>+Sheet2!B57</f>
        <v>7500000</v>
      </c>
      <c r="M24" s="2"/>
      <c r="N24" s="2"/>
      <c r="O24" s="2"/>
      <c r="P24" s="2"/>
      <c r="Q24" s="2"/>
      <c r="R24" s="2"/>
      <c r="S24" s="2"/>
      <c r="T24" s="2">
        <f t="shared" si="1"/>
        <v>75000000</v>
      </c>
    </row>
    <row r="25" spans="1:20" ht="12">
      <c r="A25" s="1" t="s">
        <v>42</v>
      </c>
      <c r="B25" s="1"/>
      <c r="C25" s="1"/>
      <c r="D25" s="1"/>
      <c r="E25" s="2">
        <v>25000000</v>
      </c>
      <c r="F25" s="2"/>
      <c r="G25" s="2"/>
      <c r="H25" s="2"/>
      <c r="I25" s="2"/>
      <c r="J25" s="2">
        <v>25000000</v>
      </c>
      <c r="K25" s="2"/>
      <c r="L25" s="2"/>
      <c r="M25" s="2"/>
      <c r="N25" s="2"/>
      <c r="O25" s="2"/>
      <c r="P25" s="2"/>
      <c r="Q25" s="2"/>
      <c r="R25" s="2"/>
      <c r="S25" s="2"/>
      <c r="T25" s="2">
        <f t="shared" si="1"/>
        <v>25000000</v>
      </c>
    </row>
    <row r="26" spans="1:20" ht="12">
      <c r="A26" s="1" t="s">
        <v>29</v>
      </c>
      <c r="B26" s="1"/>
      <c r="C26" s="1"/>
      <c r="D26" s="1"/>
      <c r="E26" s="2">
        <v>25000000</v>
      </c>
      <c r="F26" s="2"/>
      <c r="G26" s="2"/>
      <c r="H26" s="2">
        <f>+E26</f>
        <v>25000000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f t="shared" si="1"/>
        <v>25000000</v>
      </c>
    </row>
    <row r="27" spans="1:20" ht="12">
      <c r="A27" s="1" t="s">
        <v>6</v>
      </c>
      <c r="B27" s="1"/>
      <c r="C27" s="1"/>
      <c r="D27" s="1"/>
      <c r="E27" s="2">
        <v>75000000</v>
      </c>
      <c r="F27" s="2"/>
      <c r="G27" s="2"/>
      <c r="H27" s="2">
        <f>+E27*0.95</f>
        <v>71250000</v>
      </c>
      <c r="I27" s="2"/>
      <c r="J27" s="2"/>
      <c r="K27" s="2"/>
      <c r="L27" s="2"/>
      <c r="M27" s="2">
        <f>+E27*0.05</f>
        <v>3750000</v>
      </c>
      <c r="N27" s="2"/>
      <c r="O27" s="2"/>
      <c r="P27" s="2"/>
      <c r="Q27" s="2"/>
      <c r="R27" s="2"/>
      <c r="S27" s="2"/>
      <c r="T27" s="2">
        <f t="shared" si="1"/>
        <v>75000000</v>
      </c>
    </row>
    <row r="28" spans="1:20" ht="12">
      <c r="A28" s="1" t="s">
        <v>7</v>
      </c>
      <c r="B28" s="1"/>
      <c r="C28" s="1"/>
      <c r="D28" s="1"/>
      <c r="E28" s="2">
        <v>20000000</v>
      </c>
      <c r="F28" s="2"/>
      <c r="G28" s="2"/>
      <c r="H28" s="2"/>
      <c r="I28" s="2"/>
      <c r="J28" s="2"/>
      <c r="K28" s="2">
        <v>20000000</v>
      </c>
      <c r="L28" s="2"/>
      <c r="M28" s="2"/>
      <c r="N28" s="2"/>
      <c r="O28" s="2"/>
      <c r="P28" s="2"/>
      <c r="Q28" s="2"/>
      <c r="R28" s="2"/>
      <c r="S28" s="2"/>
      <c r="T28" s="2">
        <f>SUM(F28:N28)</f>
        <v>20000000</v>
      </c>
    </row>
    <row r="29" spans="1:20" ht="12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">
      <c r="A30" s="1"/>
      <c r="B30" s="1"/>
      <c r="C30" s="1"/>
      <c r="D30" s="1"/>
      <c r="E30" s="2">
        <f>SUM(E5:E28)</f>
        <v>2750000000</v>
      </c>
      <c r="F30" s="2">
        <f aca="true" t="shared" si="2" ref="F30:S30">SUM(F5:F28)</f>
        <v>1390943554.8147745</v>
      </c>
      <c r="G30" s="2">
        <f t="shared" si="2"/>
        <v>500768728.3073843</v>
      </c>
      <c r="H30" s="2">
        <f t="shared" si="2"/>
        <v>276936590.9667815</v>
      </c>
      <c r="I30" s="2">
        <f t="shared" si="2"/>
        <v>262138272.32682866</v>
      </c>
      <c r="J30" s="2">
        <f t="shared" si="2"/>
        <v>209843293.25318018</v>
      </c>
      <c r="K30" s="2">
        <f t="shared" si="2"/>
        <v>41337600.164915815</v>
      </c>
      <c r="L30" s="2">
        <f t="shared" si="2"/>
        <v>19529060.11339279</v>
      </c>
      <c r="M30" s="2">
        <f t="shared" si="2"/>
        <v>14677442.125973439</v>
      </c>
      <c r="N30" s="2">
        <f t="shared" si="2"/>
        <v>7637315.869276963</v>
      </c>
      <c r="O30" s="2">
        <f t="shared" si="2"/>
        <v>1772564.563788269</v>
      </c>
      <c r="P30" s="2">
        <f t="shared" si="2"/>
        <v>7774941.387246295</v>
      </c>
      <c r="Q30" s="2">
        <f t="shared" si="2"/>
        <v>10164690.169214033</v>
      </c>
      <c r="R30" s="2">
        <f t="shared" si="2"/>
        <v>1286787.8056749352</v>
      </c>
      <c r="S30" s="2">
        <f t="shared" si="2"/>
        <v>5189158.525507768</v>
      </c>
      <c r="T30" s="2">
        <f>SUM(T5:T28)</f>
        <v>2750000000.3939395</v>
      </c>
    </row>
    <row r="31" spans="1:20" ht="12">
      <c r="A31" s="1"/>
      <c r="B31" s="1"/>
      <c r="C31" s="1"/>
      <c r="D31" s="1"/>
      <c r="E31" s="1"/>
      <c r="F31" s="3">
        <f>+F30/$E$30</f>
        <v>0.5057976562962816</v>
      </c>
      <c r="G31" s="3">
        <f aca="true" t="shared" si="3" ref="G31:N31">+G30/$E$30</f>
        <v>0.1820977193845034</v>
      </c>
      <c r="H31" s="3">
        <f t="shared" si="3"/>
        <v>0.10070421489701145</v>
      </c>
      <c r="I31" s="3">
        <f t="shared" si="3"/>
        <v>0.09532300811884678</v>
      </c>
      <c r="J31" s="3">
        <f t="shared" si="3"/>
        <v>0.07630665209206552</v>
      </c>
      <c r="K31" s="3">
        <f t="shared" si="3"/>
        <v>0.015031854605423932</v>
      </c>
      <c r="L31" s="3">
        <f t="shared" si="3"/>
        <v>0.007101476404870105</v>
      </c>
      <c r="M31" s="3">
        <f t="shared" si="3"/>
        <v>0.005337251682172159</v>
      </c>
      <c r="N31" s="3">
        <f t="shared" si="3"/>
        <v>0.0027772057706461684</v>
      </c>
      <c r="O31" s="3">
        <f>+O30/$E$30</f>
        <v>0.0006445689322866433</v>
      </c>
      <c r="P31" s="3">
        <f>+P30/$E$30</f>
        <v>0.002827251413544107</v>
      </c>
      <c r="Q31" s="3">
        <f>+Q30/$E$30</f>
        <v>0.0036962509706232848</v>
      </c>
      <c r="R31" s="3">
        <f>+R30/$E$30</f>
        <v>0.0004679228384272492</v>
      </c>
      <c r="S31" s="3">
        <f>+S30/$E$30</f>
        <v>0.001886966736548279</v>
      </c>
      <c r="T31" s="3">
        <f>SUM(F31:S31)</f>
        <v>1.0000000001432505</v>
      </c>
    </row>
    <row r="32" spans="1:20" ht="12">
      <c r="A32" s="1" t="s">
        <v>24</v>
      </c>
      <c r="B32" s="1"/>
      <c r="C32" s="1"/>
      <c r="D32" s="1"/>
      <c r="E32" s="1"/>
      <c r="F32" s="1">
        <v>52.19</v>
      </c>
      <c r="G32" s="1">
        <v>11.88</v>
      </c>
      <c r="H32" s="1">
        <v>10.83</v>
      </c>
      <c r="I32" s="1">
        <v>10.67</v>
      </c>
      <c r="J32" s="1">
        <v>7.9</v>
      </c>
      <c r="K32" s="1">
        <v>1.22</v>
      </c>
      <c r="L32" s="1">
        <v>3.57</v>
      </c>
      <c r="M32" s="1">
        <v>1.26</v>
      </c>
      <c r="N32" s="1">
        <v>0.41</v>
      </c>
      <c r="O32" s="1"/>
      <c r="P32" s="1"/>
      <c r="Q32" s="1"/>
      <c r="R32" s="1"/>
      <c r="S32" s="1"/>
      <c r="T32" s="4">
        <f>SUM(F32:N32)</f>
        <v>99.92999999999999</v>
      </c>
    </row>
    <row r="33" spans="1:20" ht="12">
      <c r="A33" s="1" t="s">
        <v>25</v>
      </c>
      <c r="B33" s="1"/>
      <c r="C33" s="1"/>
      <c r="D33" s="1"/>
      <c r="E33" s="1"/>
      <c r="F33" s="1">
        <v>54.2</v>
      </c>
      <c r="G33" s="1">
        <v>15.4</v>
      </c>
      <c r="H33" s="1">
        <v>10.4</v>
      </c>
      <c r="I33" s="1">
        <v>9</v>
      </c>
      <c r="J33" s="1">
        <v>6.9</v>
      </c>
      <c r="K33" s="1">
        <v>1.9</v>
      </c>
      <c r="L33" s="1">
        <v>1.2</v>
      </c>
      <c r="M33" s="1">
        <v>0.56</v>
      </c>
      <c r="N33" s="1">
        <v>0.5</v>
      </c>
      <c r="O33" s="1"/>
      <c r="P33" s="1"/>
      <c r="Q33" s="1"/>
      <c r="R33" s="1"/>
      <c r="S33" s="1"/>
      <c r="T33" s="4">
        <f>SUM(F33:N33)</f>
        <v>100.06000000000003</v>
      </c>
    </row>
    <row r="36" spans="1:9" ht="12">
      <c r="A36" s="1" t="s">
        <v>26</v>
      </c>
      <c r="B36" s="1"/>
      <c r="C36" s="1"/>
      <c r="D36" s="1"/>
      <c r="E36" s="4">
        <f>SUM(F36:I36)</f>
        <v>1657700</v>
      </c>
      <c r="F36" s="4">
        <v>987100</v>
      </c>
      <c r="G36" s="4">
        <v>293100</v>
      </c>
      <c r="H36" s="4">
        <v>191300</v>
      </c>
      <c r="I36" s="4">
        <v>186200</v>
      </c>
    </row>
    <row r="37" spans="1:9" ht="12">
      <c r="A37" s="1"/>
      <c r="B37" s="1"/>
      <c r="C37" s="1"/>
      <c r="D37" s="1"/>
      <c r="E37" s="1"/>
      <c r="F37" s="3">
        <f>+F36/E36</f>
        <v>0.5954635941364541</v>
      </c>
      <c r="G37" s="3">
        <f>+G36/E36</f>
        <v>0.17681124449538518</v>
      </c>
      <c r="H37" s="3">
        <f>+H36/E36</f>
        <v>0.11540085660855402</v>
      </c>
      <c r="I37" s="3">
        <f>+I36/E36</f>
        <v>0.11232430475960668</v>
      </c>
    </row>
    <row r="39" spans="1:21" ht="12">
      <c r="A39" s="1" t="s">
        <v>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">
      <c r="A40" s="1" t="s">
        <v>32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printOptions/>
  <pageMargins left="0.75" right="0.75" top="1" bottom="1" header="0.5" footer="0.5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D63" sqref="D63"/>
    </sheetView>
  </sheetViews>
  <sheetFormatPr defaultColWidth="11.421875" defaultRowHeight="12.75"/>
  <cols>
    <col min="1" max="1" width="22.7109375" style="0" customWidth="1"/>
    <col min="2" max="4" width="12.7109375" style="0" customWidth="1"/>
    <col min="5" max="5" width="9.7109375" style="0" customWidth="1"/>
    <col min="6" max="6" width="12.7109375" style="0" customWidth="1"/>
    <col min="7" max="16384" width="8.8515625" style="0" customWidth="1"/>
  </cols>
  <sheetData>
    <row r="1" ht="12">
      <c r="A1" t="s">
        <v>44</v>
      </c>
    </row>
    <row r="2" ht="12">
      <c r="A2" t="s">
        <v>43</v>
      </c>
    </row>
    <row r="4" ht="12">
      <c r="A4" s="15">
        <v>37405</v>
      </c>
    </row>
    <row r="6" spans="1:6" ht="12">
      <c r="A6" s="9" t="s">
        <v>55</v>
      </c>
      <c r="F6" s="6">
        <f>+Sheet1!E19</f>
        <v>250000000</v>
      </c>
    </row>
    <row r="8" spans="1:3" ht="12">
      <c r="A8" s="9" t="s">
        <v>45</v>
      </c>
      <c r="B8" s="16" t="s">
        <v>46</v>
      </c>
      <c r="C8" s="16" t="s">
        <v>47</v>
      </c>
    </row>
    <row r="9" spans="1:3" ht="12">
      <c r="A9" t="s">
        <v>17</v>
      </c>
      <c r="B9" s="7">
        <v>0.17392779</v>
      </c>
      <c r="C9" s="6">
        <f>+F6*B9</f>
        <v>43481947.5</v>
      </c>
    </row>
    <row r="10" spans="1:3" ht="12">
      <c r="A10" t="s">
        <v>15</v>
      </c>
      <c r="B10" s="7">
        <v>0.24091371</v>
      </c>
      <c r="C10" s="6">
        <f>+F6*B10</f>
        <v>60228427.5</v>
      </c>
    </row>
    <row r="11" spans="1:3" ht="12">
      <c r="A11" t="s">
        <v>49</v>
      </c>
      <c r="B11" s="7">
        <v>0.01724195</v>
      </c>
      <c r="C11" s="6">
        <f>+F6*B11</f>
        <v>4310487.5</v>
      </c>
    </row>
    <row r="12" spans="1:3" ht="12">
      <c r="A12" t="s">
        <v>48</v>
      </c>
      <c r="B12" s="7">
        <v>0.55910968</v>
      </c>
      <c r="C12" s="6">
        <f>+F6*B12</f>
        <v>139777420</v>
      </c>
    </row>
    <row r="13" spans="1:3" ht="12">
      <c r="A13" t="s">
        <v>50</v>
      </c>
      <c r="B13" s="10">
        <v>0.00880687</v>
      </c>
      <c r="C13" s="11">
        <f>+F6*B13</f>
        <v>2201717.5</v>
      </c>
    </row>
    <row r="14" spans="1:3" ht="12">
      <c r="A14" t="s">
        <v>51</v>
      </c>
      <c r="B14" s="7">
        <f>SUM(B9:B13)</f>
        <v>1</v>
      </c>
      <c r="C14" s="6">
        <f>SUM(C9:C13)</f>
        <v>250000000</v>
      </c>
    </row>
    <row r="16" spans="1:6" ht="12">
      <c r="A16" s="9" t="s">
        <v>56</v>
      </c>
      <c r="F16" s="6">
        <f>+Sheet1!E16</f>
        <v>100000000</v>
      </c>
    </row>
    <row r="17" ht="12">
      <c r="F17" s="6"/>
    </row>
    <row r="18" spans="2:4" ht="12">
      <c r="B18" s="17" t="s">
        <v>57</v>
      </c>
      <c r="C18" s="17" t="s">
        <v>58</v>
      </c>
      <c r="D18" s="17"/>
    </row>
    <row r="19" spans="1:4" ht="12">
      <c r="A19" s="9" t="s">
        <v>45</v>
      </c>
      <c r="B19" s="16" t="s">
        <v>22</v>
      </c>
      <c r="C19" s="16" t="s">
        <v>46</v>
      </c>
      <c r="D19" s="16" t="s">
        <v>47</v>
      </c>
    </row>
    <row r="20" spans="1:4" ht="12">
      <c r="A20" t="s">
        <v>48</v>
      </c>
      <c r="B20" s="8">
        <v>0.313435</v>
      </c>
      <c r="C20" s="7">
        <f>+B20/B24</f>
        <v>0.4072700103950104</v>
      </c>
      <c r="D20" s="6">
        <f>+F16*C20</f>
        <v>40727001.03950103</v>
      </c>
    </row>
    <row r="21" spans="1:4" ht="12">
      <c r="A21" t="s">
        <v>52</v>
      </c>
      <c r="B21" s="8">
        <v>0.067131</v>
      </c>
      <c r="C21" s="7">
        <f>+B21/B24</f>
        <v>0.08722843035343034</v>
      </c>
      <c r="D21" s="6">
        <f>+F16*C21</f>
        <v>8722843.035343034</v>
      </c>
    </row>
    <row r="22" spans="1:4" ht="12">
      <c r="A22" t="s">
        <v>53</v>
      </c>
      <c r="B22" s="8">
        <v>0.030344</v>
      </c>
      <c r="C22" s="7">
        <f>+B22/B24</f>
        <v>0.03942827442827442</v>
      </c>
      <c r="D22" s="6">
        <f>+F16*C22</f>
        <v>3942827.442827442</v>
      </c>
    </row>
    <row r="23" spans="1:4" ht="12">
      <c r="A23" t="s">
        <v>54</v>
      </c>
      <c r="B23" s="12">
        <v>0.35869</v>
      </c>
      <c r="C23" s="10">
        <f>+B23/B24</f>
        <v>0.4660732848232848</v>
      </c>
      <c r="D23" s="11">
        <f>+F16*C23</f>
        <v>46607328.48232848</v>
      </c>
    </row>
    <row r="24" spans="1:4" ht="12">
      <c r="A24" t="s">
        <v>51</v>
      </c>
      <c r="B24" s="8">
        <f>SUM(B20:B23)</f>
        <v>0.7696000000000001</v>
      </c>
      <c r="C24" s="7">
        <f>SUM(C20:C23)</f>
        <v>1</v>
      </c>
      <c r="D24" s="6">
        <f>SUM(D20:D23)</f>
        <v>100000000</v>
      </c>
    </row>
    <row r="26" spans="1:6" ht="12">
      <c r="A26" s="9" t="s">
        <v>74</v>
      </c>
      <c r="F26" s="6">
        <f>+Sheet1!E20</f>
        <v>150000000</v>
      </c>
    </row>
    <row r="27" ht="12">
      <c r="F27" s="6"/>
    </row>
    <row r="28" spans="2:4" ht="12">
      <c r="B28" s="16" t="s">
        <v>63</v>
      </c>
      <c r="C28" s="16" t="s">
        <v>64</v>
      </c>
      <c r="D28" s="16" t="s">
        <v>47</v>
      </c>
    </row>
    <row r="29" spans="1:4" ht="12">
      <c r="A29" t="s">
        <v>59</v>
      </c>
      <c r="B29" s="13">
        <v>189453</v>
      </c>
      <c r="C29" s="7">
        <f>+B29/B33</f>
        <v>0.11770088977854318</v>
      </c>
      <c r="D29" s="6">
        <f>+F26*C29</f>
        <v>17655133.46678148</v>
      </c>
    </row>
    <row r="30" spans="1:4" ht="12">
      <c r="A30" t="s">
        <v>60</v>
      </c>
      <c r="B30" s="13">
        <v>969749</v>
      </c>
      <c r="C30" s="7">
        <f>+B30/B33</f>
        <v>0.6024730152694994</v>
      </c>
      <c r="D30" s="6">
        <f>+F26*C30</f>
        <v>90370952.2904249</v>
      </c>
    </row>
    <row r="31" spans="1:4" ht="12">
      <c r="A31" t="s">
        <v>61</v>
      </c>
      <c r="B31" s="13">
        <v>169599</v>
      </c>
      <c r="C31" s="7">
        <f>+B31/B33</f>
        <v>0.10536625551219111</v>
      </c>
      <c r="D31" s="6">
        <f>+F26*C31</f>
        <v>15804938.326828668</v>
      </c>
    </row>
    <row r="32" spans="1:4" ht="12">
      <c r="A32" t="s">
        <v>62</v>
      </c>
      <c r="B32" s="14">
        <v>280813</v>
      </c>
      <c r="C32" s="10">
        <f>+B32/B33</f>
        <v>0.1744598394397663</v>
      </c>
      <c r="D32" s="11">
        <f>+F26*C32</f>
        <v>26168975.915964946</v>
      </c>
    </row>
    <row r="33" spans="1:4" ht="12">
      <c r="A33" t="s">
        <v>51</v>
      </c>
      <c r="B33" s="13">
        <f>SUM(B29:B32)</f>
        <v>1609614</v>
      </c>
      <c r="C33" s="7">
        <f>SUM(C29:C32)</f>
        <v>1</v>
      </c>
      <c r="D33" s="6">
        <f>SUM(D29:D32)</f>
        <v>150000000</v>
      </c>
    </row>
    <row r="36" spans="1:6" ht="12">
      <c r="A36" s="9" t="s">
        <v>75</v>
      </c>
      <c r="F36" s="6">
        <f>+Sheet1!E21</f>
        <v>100000000</v>
      </c>
    </row>
    <row r="38" spans="2:4" ht="12">
      <c r="B38" s="16" t="s">
        <v>63</v>
      </c>
      <c r="C38" s="16" t="s">
        <v>64</v>
      </c>
      <c r="D38" s="16" t="s">
        <v>47</v>
      </c>
    </row>
    <row r="39" spans="1:4" ht="12">
      <c r="A39" t="s">
        <v>17</v>
      </c>
      <c r="B39" s="13">
        <v>128283</v>
      </c>
      <c r="C39" s="7">
        <f>+B39/B49</f>
        <v>0.4605831475318017</v>
      </c>
      <c r="D39" s="6">
        <f aca="true" t="shared" si="0" ref="D39:D48">+$F$36*C39</f>
        <v>46058314.75318017</v>
      </c>
    </row>
    <row r="40" spans="1:4" ht="12">
      <c r="A40" t="s">
        <v>73</v>
      </c>
      <c r="B40" s="13">
        <v>4937</v>
      </c>
      <c r="C40" s="7">
        <f>+B40/B49</f>
        <v>0.01772564563788269</v>
      </c>
      <c r="D40" s="6">
        <f t="shared" si="0"/>
        <v>1772564.563788269</v>
      </c>
    </row>
    <row r="41" spans="1:4" ht="12">
      <c r="A41" t="s">
        <v>49</v>
      </c>
      <c r="B41" s="13">
        <v>21498</v>
      </c>
      <c r="C41" s="7">
        <f aca="true" t="shared" si="1" ref="C41:C48">+B41/$B$49</f>
        <v>0.07718572613392789</v>
      </c>
      <c r="D41" s="6">
        <f t="shared" si="0"/>
        <v>7718572.613392789</v>
      </c>
    </row>
    <row r="42" spans="1:4" ht="12">
      <c r="A42" t="s">
        <v>50</v>
      </c>
      <c r="B42" s="13">
        <v>10377</v>
      </c>
      <c r="C42" s="7">
        <f t="shared" si="1"/>
        <v>0.03725724625973439</v>
      </c>
      <c r="D42" s="6">
        <f t="shared" si="0"/>
        <v>3725724.625973439</v>
      </c>
    </row>
    <row r="43" spans="1:4" ht="12">
      <c r="A43" t="s">
        <v>65</v>
      </c>
      <c r="B43" s="13">
        <v>21655</v>
      </c>
      <c r="C43" s="7">
        <f t="shared" si="1"/>
        <v>0.07774941387246295</v>
      </c>
      <c r="D43" s="6">
        <f t="shared" si="0"/>
        <v>7774941.387246295</v>
      </c>
    </row>
    <row r="44" spans="1:4" ht="12">
      <c r="A44" t="s">
        <v>66</v>
      </c>
      <c r="B44" s="13">
        <v>28311</v>
      </c>
      <c r="C44" s="7">
        <f t="shared" si="1"/>
        <v>0.10164690169214033</v>
      </c>
      <c r="D44" s="6">
        <f t="shared" si="0"/>
        <v>10164690.169214033</v>
      </c>
    </row>
    <row r="45" spans="1:4" ht="12">
      <c r="A45" t="s">
        <v>18</v>
      </c>
      <c r="B45" s="13">
        <v>35135</v>
      </c>
      <c r="C45" s="7">
        <f t="shared" si="1"/>
        <v>0.12614757129572782</v>
      </c>
      <c r="D45" s="6">
        <f t="shared" si="0"/>
        <v>12614757.12957278</v>
      </c>
    </row>
    <row r="46" spans="1:4" ht="12">
      <c r="A46" t="s">
        <v>53</v>
      </c>
      <c r="B46" s="13">
        <v>10290</v>
      </c>
      <c r="C46" s="7">
        <f t="shared" si="1"/>
        <v>0.036944884264495215</v>
      </c>
      <c r="D46" s="6">
        <f t="shared" si="0"/>
        <v>3694488.4264495214</v>
      </c>
    </row>
    <row r="47" spans="1:4" ht="12">
      <c r="A47" t="s">
        <v>76</v>
      </c>
      <c r="B47" s="13">
        <v>3584</v>
      </c>
      <c r="C47" s="7">
        <f t="shared" si="1"/>
        <v>0.012867878056749353</v>
      </c>
      <c r="D47" s="6">
        <f t="shared" si="0"/>
        <v>1286787.8056749352</v>
      </c>
    </row>
    <row r="48" spans="1:4" ht="12">
      <c r="A48" t="s">
        <v>67</v>
      </c>
      <c r="B48" s="14">
        <v>14453</v>
      </c>
      <c r="C48" s="10">
        <f t="shared" si="1"/>
        <v>0.05189158525507768</v>
      </c>
      <c r="D48" s="11">
        <f t="shared" si="0"/>
        <v>5189158.525507768</v>
      </c>
    </row>
    <row r="49" spans="1:4" ht="12">
      <c r="A49" t="s">
        <v>51</v>
      </c>
      <c r="B49" s="13">
        <f>SUM(B39:B48)</f>
        <v>278523</v>
      </c>
      <c r="C49" s="7">
        <f>SUM(C39:C48)</f>
        <v>0.9999999999999999</v>
      </c>
      <c r="D49" s="6">
        <f>SUM(D39:D48)</f>
        <v>100000000</v>
      </c>
    </row>
    <row r="52" spans="1:6" ht="12">
      <c r="A52" s="9" t="s">
        <v>28</v>
      </c>
      <c r="F52" s="6">
        <f>+Sheet1!E24</f>
        <v>75000000</v>
      </c>
    </row>
    <row r="54" ht="12">
      <c r="B54" s="16" t="s">
        <v>72</v>
      </c>
    </row>
    <row r="55" spans="1:2" ht="12">
      <c r="A55" t="s">
        <v>68</v>
      </c>
      <c r="B55" s="6">
        <v>18750000</v>
      </c>
    </row>
    <row r="56" spans="1:2" ht="12">
      <c r="A56" t="s">
        <v>69</v>
      </c>
      <c r="B56" s="6">
        <v>18750000</v>
      </c>
    </row>
    <row r="57" spans="1:2" ht="12">
      <c r="A57" t="s">
        <v>70</v>
      </c>
      <c r="B57" s="6">
        <v>7500000</v>
      </c>
    </row>
    <row r="58" spans="1:2" ht="12">
      <c r="A58" t="s">
        <v>71</v>
      </c>
      <c r="B58" s="20">
        <v>26250000</v>
      </c>
    </row>
    <row r="59" spans="1:2" ht="12">
      <c r="A59" t="s">
        <v>81</v>
      </c>
      <c r="B59" s="11">
        <v>3750000</v>
      </c>
    </row>
    <row r="60" ht="12">
      <c r="B60" s="6">
        <f>SUM(B55:B59)</f>
        <v>75000000</v>
      </c>
    </row>
    <row r="62" spans="2:4" ht="12">
      <c r="B62" s="13"/>
      <c r="C62" s="7"/>
      <c r="D62" s="6"/>
    </row>
  </sheetData>
  <printOptions/>
  <pageMargins left="0.75" right="0.75" top="1" bottom="1" header="0.5" footer="0.5"/>
  <pageSetup horizontalDpi="600" verticalDpi="6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selection activeCell="S13" sqref="S13"/>
    </sheetView>
  </sheetViews>
  <sheetFormatPr defaultColWidth="11.421875" defaultRowHeight="12.75"/>
  <cols>
    <col min="1" max="1" width="12.28125" style="0" bestFit="1" customWidth="1"/>
    <col min="2" max="3" width="8.8515625" style="0" customWidth="1"/>
    <col min="4" max="19" width="10.7109375" style="0" customWidth="1"/>
    <col min="20" max="16384" width="8.8515625" style="0" customWidth="1"/>
  </cols>
  <sheetData>
    <row r="1" ht="12">
      <c r="A1" t="s">
        <v>77</v>
      </c>
    </row>
    <row r="2" ht="12">
      <c r="A2" s="18">
        <v>37405</v>
      </c>
    </row>
    <row r="4" spans="4:19" ht="12">
      <c r="D4" s="1"/>
      <c r="E4" s="5"/>
      <c r="F4" s="5"/>
      <c r="G4" s="5"/>
      <c r="H4" s="5"/>
      <c r="I4" s="5"/>
      <c r="J4" s="5" t="s">
        <v>16</v>
      </c>
      <c r="K4" s="5"/>
      <c r="L4" s="5" t="s">
        <v>18</v>
      </c>
      <c r="M4" s="5" t="s">
        <v>54</v>
      </c>
      <c r="N4" s="5"/>
      <c r="O4" s="5"/>
      <c r="P4" s="5"/>
      <c r="Q4" s="5"/>
      <c r="R4" s="5"/>
      <c r="S4" s="1"/>
    </row>
    <row r="5" spans="4:19" ht="12">
      <c r="D5" s="19" t="s">
        <v>22</v>
      </c>
      <c r="E5" s="19" t="s">
        <v>17</v>
      </c>
      <c r="F5" s="19" t="s">
        <v>15</v>
      </c>
      <c r="G5" s="19" t="s">
        <v>49</v>
      </c>
      <c r="H5" s="19" t="s">
        <v>48</v>
      </c>
      <c r="I5" s="19" t="s">
        <v>50</v>
      </c>
      <c r="J5" s="19" t="s">
        <v>13</v>
      </c>
      <c r="K5" s="19" t="s">
        <v>18</v>
      </c>
      <c r="L5" s="19" t="s">
        <v>21</v>
      </c>
      <c r="M5" s="19" t="s">
        <v>13</v>
      </c>
      <c r="N5" s="19" t="s">
        <v>73</v>
      </c>
      <c r="O5" s="19" t="s">
        <v>65</v>
      </c>
      <c r="P5" s="19" t="s">
        <v>66</v>
      </c>
      <c r="Q5" s="19" t="s">
        <v>76</v>
      </c>
      <c r="R5" s="19" t="s">
        <v>67</v>
      </c>
      <c r="S5" s="19" t="s">
        <v>79</v>
      </c>
    </row>
    <row r="6" spans="4:19" ht="1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>
      <c r="A7" s="1" t="s">
        <v>34</v>
      </c>
      <c r="D7" s="2">
        <v>250000000</v>
      </c>
      <c r="E7" s="2">
        <f>+Sheet2!C9</f>
        <v>43481947.5</v>
      </c>
      <c r="F7" s="2">
        <f>+Sheet2!C10</f>
        <v>60228427.5</v>
      </c>
      <c r="G7" s="2">
        <f>+Sheet2!C11</f>
        <v>4310487.5</v>
      </c>
      <c r="H7" s="2">
        <f>+Sheet2!C12</f>
        <v>139777420</v>
      </c>
      <c r="I7" s="2">
        <f>+Sheet2!C13</f>
        <v>2201717.5</v>
      </c>
      <c r="J7" s="2"/>
      <c r="K7" s="2"/>
      <c r="L7" s="2"/>
      <c r="M7" s="2"/>
      <c r="N7" s="2"/>
      <c r="O7" s="2"/>
      <c r="P7" s="2"/>
      <c r="Q7" s="2"/>
      <c r="R7" s="2"/>
      <c r="S7" s="2">
        <f>SUM(E7:R7)</f>
        <v>250000000</v>
      </c>
    </row>
    <row r="8" spans="1:19" ht="12">
      <c r="A8" s="1" t="s">
        <v>35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 aca="true" t="shared" si="0" ref="S8:S14">SUM(E8:R8)</f>
        <v>0</v>
      </c>
    </row>
    <row r="9" spans="1:19" ht="12">
      <c r="A9" s="1" t="s">
        <v>10</v>
      </c>
      <c r="D9" s="2">
        <v>100000000</v>
      </c>
      <c r="E9" s="2"/>
      <c r="F9" s="2"/>
      <c r="G9" s="2"/>
      <c r="H9" s="2">
        <f>+Sheet2!D20</f>
        <v>40727001.03950103</v>
      </c>
      <c r="I9" s="2"/>
      <c r="J9" s="2"/>
      <c r="K9" s="2">
        <f>+Sheet2!D21</f>
        <v>8722843.035343034</v>
      </c>
      <c r="L9" s="2">
        <f>+Sheet2!D22</f>
        <v>3942827.442827442</v>
      </c>
      <c r="M9" s="2">
        <f>+Sheet2!D23</f>
        <v>46607328.48232848</v>
      </c>
      <c r="N9" s="2"/>
      <c r="O9" s="2"/>
      <c r="P9" s="2"/>
      <c r="Q9" s="2"/>
      <c r="R9" s="2"/>
      <c r="S9" s="2">
        <f t="shared" si="0"/>
        <v>100000000</v>
      </c>
    </row>
    <row r="10" spans="1:19" ht="12">
      <c r="A10" s="1" t="s">
        <v>11</v>
      </c>
      <c r="D10" s="2">
        <v>150000000</v>
      </c>
      <c r="E10" s="2"/>
      <c r="F10" s="2">
        <f>+Sheet2!D29</f>
        <v>17655133.46678148</v>
      </c>
      <c r="G10" s="2"/>
      <c r="H10" s="2">
        <f>+Sheet2!D30</f>
        <v>90370952.2904249</v>
      </c>
      <c r="I10" s="2"/>
      <c r="J10" s="2">
        <f>+Sheet2!D31</f>
        <v>15804938.326828668</v>
      </c>
      <c r="K10" s="2"/>
      <c r="L10" s="2"/>
      <c r="M10" s="2">
        <f>+Sheet2!D32</f>
        <v>26168975.915964946</v>
      </c>
      <c r="N10" s="2"/>
      <c r="O10" s="2"/>
      <c r="P10" s="2"/>
      <c r="Q10" s="2"/>
      <c r="R10" s="2"/>
      <c r="S10" s="2">
        <f t="shared" si="0"/>
        <v>150000000</v>
      </c>
    </row>
    <row r="11" spans="1:19" ht="12">
      <c r="A11" s="1" t="s">
        <v>27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f t="shared" si="0"/>
        <v>0</v>
      </c>
    </row>
    <row r="12" spans="1:19" ht="12">
      <c r="A12" s="1" t="s">
        <v>23</v>
      </c>
      <c r="D12" s="2">
        <v>100000000</v>
      </c>
      <c r="E12" s="2">
        <f>+Sheet2!D39</f>
        <v>46058314.75318017</v>
      </c>
      <c r="F12" s="2"/>
      <c r="G12" s="2">
        <f>+Sheet2!D41</f>
        <v>7718572.613392789</v>
      </c>
      <c r="H12" s="2"/>
      <c r="I12" s="2">
        <f>+Sheet2!D42</f>
        <v>3725724.625973439</v>
      </c>
      <c r="J12" s="2"/>
      <c r="K12" s="2">
        <f>+Sheet2!D45</f>
        <v>12614757.12957278</v>
      </c>
      <c r="L12" s="2">
        <f>+Sheet2!D46</f>
        <v>3694488.4264495214</v>
      </c>
      <c r="M12" s="2"/>
      <c r="N12" s="2">
        <f>+Sheet2!D40</f>
        <v>1772564.563788269</v>
      </c>
      <c r="O12" s="2">
        <f>+Sheet2!D43</f>
        <v>7774941.387246295</v>
      </c>
      <c r="P12" s="2">
        <f>+Sheet2!D44</f>
        <v>10164690.169214033</v>
      </c>
      <c r="Q12" s="2">
        <f>+Sheet2!D47</f>
        <v>1286787.8056749352</v>
      </c>
      <c r="R12" s="2">
        <f>+Sheet2!D48</f>
        <v>5189158.525507768</v>
      </c>
      <c r="S12" s="2">
        <f t="shared" si="0"/>
        <v>100000000.00000001</v>
      </c>
    </row>
    <row r="13" spans="1:19" ht="12">
      <c r="A13" s="1" t="s">
        <v>28</v>
      </c>
      <c r="D13" s="2">
        <v>75000000</v>
      </c>
      <c r="E13" s="2">
        <f>+Sheet2!B55</f>
        <v>18750000</v>
      </c>
      <c r="F13" s="2">
        <f>+Sheet2!B56</f>
        <v>18750000</v>
      </c>
      <c r="G13" s="2">
        <f>+Sheet2!B57</f>
        <v>7500000</v>
      </c>
      <c r="H13" s="2">
        <f>+Sheet2!B58</f>
        <v>26250000</v>
      </c>
      <c r="I13" s="2"/>
      <c r="J13" s="2"/>
      <c r="K13" s="2"/>
      <c r="L13" s="2"/>
      <c r="M13" s="2">
        <f>Sheet2!B59</f>
        <v>3750000</v>
      </c>
      <c r="N13" s="2"/>
      <c r="O13" s="2"/>
      <c r="P13" s="2"/>
      <c r="Q13" s="2"/>
      <c r="R13" s="2"/>
      <c r="S13" s="2">
        <f t="shared" si="0"/>
        <v>75000000</v>
      </c>
    </row>
    <row r="14" spans="4:19" ht="1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>
        <f t="shared" si="0"/>
        <v>0</v>
      </c>
    </row>
    <row r="15" spans="1:19" ht="12">
      <c r="A15" s="1" t="s">
        <v>78</v>
      </c>
      <c r="D15" s="2">
        <f>SUM(D7:D13)</f>
        <v>675000000</v>
      </c>
      <c r="E15" s="2">
        <f>SUM(E7:E13)</f>
        <v>108290262.25318018</v>
      </c>
      <c r="F15" s="2">
        <f aca="true" t="shared" si="1" ref="F15:S15">SUM(F7:F13)</f>
        <v>96633560.96678148</v>
      </c>
      <c r="G15" s="2">
        <f t="shared" si="1"/>
        <v>19529060.11339279</v>
      </c>
      <c r="H15" s="2">
        <f t="shared" si="1"/>
        <v>297125373.32992595</v>
      </c>
      <c r="I15" s="2">
        <f t="shared" si="1"/>
        <v>5927442.125973439</v>
      </c>
      <c r="J15" s="2">
        <f t="shared" si="1"/>
        <v>15804938.326828668</v>
      </c>
      <c r="K15" s="2">
        <f t="shared" si="1"/>
        <v>21337600.164915815</v>
      </c>
      <c r="L15" s="2">
        <f t="shared" si="1"/>
        <v>7637315.869276963</v>
      </c>
      <c r="M15" s="2">
        <f t="shared" si="1"/>
        <v>76526304.39829344</v>
      </c>
      <c r="N15" s="2">
        <f t="shared" si="1"/>
        <v>1772564.563788269</v>
      </c>
      <c r="O15" s="2">
        <f t="shared" si="1"/>
        <v>7774941.387246295</v>
      </c>
      <c r="P15" s="2">
        <f t="shared" si="1"/>
        <v>10164690.169214033</v>
      </c>
      <c r="Q15" s="2">
        <f t="shared" si="1"/>
        <v>1286787.8056749352</v>
      </c>
      <c r="R15" s="2">
        <f t="shared" si="1"/>
        <v>5189158.525507768</v>
      </c>
      <c r="S15" s="2">
        <f t="shared" si="1"/>
        <v>675000000</v>
      </c>
    </row>
    <row r="16" spans="4:19" ht="12">
      <c r="D16" s="1"/>
      <c r="E16" s="3">
        <f>+E15/$D$15</f>
        <v>0.1604300181528595</v>
      </c>
      <c r="F16" s="3">
        <f aca="true" t="shared" si="2" ref="F16:S16">+F15/$D$15</f>
        <v>0.1431608310618985</v>
      </c>
      <c r="G16" s="3">
        <f t="shared" si="2"/>
        <v>0.028931940908730056</v>
      </c>
      <c r="H16" s="3">
        <f t="shared" si="2"/>
        <v>0.440185738266557</v>
      </c>
      <c r="I16" s="3">
        <f t="shared" si="2"/>
        <v>0.008781395742182872</v>
      </c>
      <c r="J16" s="3">
        <f t="shared" si="2"/>
        <v>0.023414723447153583</v>
      </c>
      <c r="K16" s="3">
        <f t="shared" si="2"/>
        <v>0.03161125950357899</v>
      </c>
      <c r="L16" s="3">
        <f t="shared" si="2"/>
        <v>0.011314542028558463</v>
      </c>
      <c r="M16" s="3">
        <f t="shared" si="2"/>
        <v>0.11337230281228657</v>
      </c>
      <c r="N16" s="3">
        <f t="shared" si="2"/>
        <v>0.0026260215759826206</v>
      </c>
      <c r="O16" s="3">
        <f t="shared" si="2"/>
        <v>0.011518431684809326</v>
      </c>
      <c r="P16" s="3">
        <f t="shared" si="2"/>
        <v>0.015058800250687456</v>
      </c>
      <c r="Q16" s="3">
        <f t="shared" si="2"/>
        <v>0.0019063523047036077</v>
      </c>
      <c r="R16" s="3">
        <f t="shared" si="2"/>
        <v>0.007687642260011508</v>
      </c>
      <c r="S16" s="3">
        <f t="shared" si="2"/>
        <v>1</v>
      </c>
    </row>
  </sheetData>
  <printOptions/>
  <pageMargins left="0.75" right="0.75" top="1" bottom="1" header="0.5" footer="0.5"/>
  <pageSetup fitToHeight="1" fitToWidth="1" horizontalDpi="600" verticalDpi="6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Fairfax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pritte</dc:creator>
  <cp:keywords/>
  <dc:description/>
  <cp:lastModifiedBy>NVRC</cp:lastModifiedBy>
  <cp:lastPrinted>2002-10-04T16:24:31Z</cp:lastPrinted>
  <dcterms:created xsi:type="dcterms:W3CDTF">2001-02-05T15:31:31Z</dcterms:created>
  <dcterms:modified xsi:type="dcterms:W3CDTF">2002-07-19T19:10:21Z</dcterms:modified>
  <cp:category/>
  <cp:version/>
  <cp:contentType/>
  <cp:contentStatus/>
</cp:coreProperties>
</file>